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edeltech-my.sharepoint.com/personal/rupesh_jadhav_edelweissfin_com/Documents/Desktop/PMS Fees Calculator/"/>
    </mc:Choice>
  </mc:AlternateContent>
  <xr:revisionPtr revIDLastSave="48" documentId="8_{46EFD4B6-43A3-4524-BB8C-9401F514D8CD}" xr6:coauthVersionLast="47" xr6:coauthVersionMax="47" xr10:uidLastSave="{650BAC32-C97E-4ED5-B691-BC408FDA3D89}"/>
  <bookViews>
    <workbookView xWindow="-110" yWindow="-110" windowWidth="19420" windowHeight="10300" firstSheet="1" activeTab="1" xr2:uid="{00000000-000D-0000-FFFF-FFFF00000000}"/>
  </bookViews>
  <sheets>
    <sheet name="Coffee Can fees" sheetId="1" state="hidden" r:id="rId1"/>
    <sheet name="Fee Calculator"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9" l="1"/>
  <c r="B36" i="9" s="1"/>
  <c r="B37" i="9" s="1"/>
  <c r="D14" i="9"/>
  <c r="E13" i="9"/>
  <c r="F13" i="9" s="1"/>
  <c r="G13" i="9" s="1"/>
  <c r="H13" i="9" s="1"/>
  <c r="I13" i="9" s="1"/>
  <c r="J13" i="9" s="1"/>
  <c r="K13" i="9" s="1"/>
  <c r="L13" i="9" s="1"/>
  <c r="M13" i="9" s="1"/>
  <c r="D9" i="9"/>
  <c r="B38" i="9" l="1"/>
  <c r="B39" i="9" s="1"/>
  <c r="B40" i="9" s="1"/>
  <c r="B41" i="9" s="1"/>
  <c r="B42" i="9" s="1"/>
  <c r="B43" i="9" s="1"/>
  <c r="B44" i="9" s="1"/>
  <c r="B45" i="9" s="1"/>
  <c r="D23" i="9"/>
  <c r="D15" i="9"/>
  <c r="D16" i="9" s="1"/>
  <c r="D17" i="9" s="1"/>
  <c r="D19" i="9" s="1"/>
  <c r="D25" i="9" l="1"/>
  <c r="D24" i="9"/>
  <c r="D18" i="9"/>
  <c r="D20" i="9"/>
  <c r="D21" i="9" l="1"/>
  <c r="D28" i="9" s="1"/>
  <c r="D26" i="9" l="1"/>
  <c r="D27" i="9" s="1"/>
  <c r="D29" i="9" s="1"/>
  <c r="E24" i="9" s="1"/>
  <c r="E25" i="9" s="1"/>
  <c r="D30" i="9" l="1"/>
  <c r="E14" i="9"/>
  <c r="E23" i="9" l="1"/>
  <c r="E15" i="9"/>
  <c r="E16" i="9" s="1"/>
  <c r="E17" i="9" s="1"/>
  <c r="E18" i="9" l="1"/>
  <c r="E19" i="9"/>
  <c r="E20" i="9"/>
  <c r="E21" i="9" l="1"/>
  <c r="E28" i="9"/>
  <c r="E26" i="9" l="1"/>
  <c r="E27" i="9" s="1"/>
  <c r="E29" i="9" s="1"/>
  <c r="E30" i="9" l="1"/>
  <c r="F14" i="9"/>
  <c r="F24" i="9"/>
  <c r="F23" i="9" l="1"/>
  <c r="F15" i="9"/>
  <c r="F16" i="9" s="1"/>
  <c r="F17" i="9" s="1"/>
  <c r="F25" i="9"/>
  <c r="F18" i="9" l="1"/>
  <c r="F19" i="9"/>
  <c r="F20" i="9"/>
  <c r="F21" i="9" l="1"/>
  <c r="F28" i="9"/>
  <c r="F26" i="9" l="1"/>
  <c r="F27" i="9" s="1"/>
  <c r="F29" i="9" s="1"/>
  <c r="G24" i="9"/>
  <c r="G25" i="9" s="1"/>
  <c r="G14" i="9" l="1"/>
  <c r="F30" i="9"/>
  <c r="G15" i="9" l="1"/>
  <c r="G16" i="9" s="1"/>
  <c r="G17" i="9" s="1"/>
  <c r="G23" i="9"/>
  <c r="G18" i="9" l="1"/>
  <c r="G19" i="9"/>
  <c r="G20" i="9"/>
  <c r="G21" i="9" l="1"/>
  <c r="G28" i="9" l="1"/>
  <c r="G26" i="9" l="1"/>
  <c r="G27" i="9" s="1"/>
  <c r="G29" i="9" s="1"/>
  <c r="I6" i="1"/>
  <c r="I7" i="1" s="1"/>
  <c r="I8" i="1" s="1"/>
  <c r="I9" i="1" s="1"/>
  <c r="D8" i="1"/>
  <c r="D6" i="1"/>
  <c r="D7" i="1" s="1"/>
  <c r="H14" i="9" l="1"/>
  <c r="G30" i="9"/>
  <c r="H24" i="9"/>
  <c r="H25" i="9" s="1"/>
  <c r="I10" i="1"/>
  <c r="D9" i="1"/>
  <c r="H15" i="9" l="1"/>
  <c r="H16" i="9"/>
  <c r="H17" i="9" s="1"/>
  <c r="H23" i="9"/>
  <c r="D10" i="1"/>
  <c r="E5" i="1" s="1"/>
  <c r="J5" i="1"/>
  <c r="H19" i="9" l="1"/>
  <c r="H18" i="9"/>
  <c r="H20" i="9"/>
  <c r="E8" i="1"/>
  <c r="J6" i="1"/>
  <c r="J7" i="1" s="1"/>
  <c r="E6" i="1"/>
  <c r="E7" i="1" s="1"/>
  <c r="H21" i="9" l="1"/>
  <c r="H28" i="9" s="1"/>
  <c r="J8" i="1"/>
  <c r="J9" i="1" s="1"/>
  <c r="J10" i="1" s="1"/>
  <c r="E9" i="1"/>
  <c r="H26" i="9" l="1"/>
  <c r="H27" i="9" s="1"/>
  <c r="H29" i="9" s="1"/>
  <c r="E10" i="1"/>
  <c r="I14" i="9" l="1"/>
  <c r="H30" i="9"/>
  <c r="I24" i="9"/>
  <c r="I25" i="9" l="1"/>
  <c r="I15" i="9"/>
  <c r="I16" i="9" s="1"/>
  <c r="I17" i="9" s="1"/>
  <c r="I23" i="9"/>
  <c r="I18" i="9" l="1"/>
  <c r="I19" i="9"/>
  <c r="I20" i="9"/>
  <c r="I21" i="9" l="1"/>
  <c r="I28" i="9" s="1"/>
  <c r="I26" i="9" l="1"/>
  <c r="I27" i="9" s="1"/>
  <c r="I29" i="9" s="1"/>
  <c r="J24" i="9"/>
  <c r="J25" i="9" s="1"/>
  <c r="J14" i="9" l="1"/>
  <c r="I30" i="9"/>
  <c r="J15" i="9" l="1"/>
  <c r="J16" i="9" s="1"/>
  <c r="J17" i="9" s="1"/>
  <c r="J23" i="9"/>
  <c r="J20" i="9" l="1"/>
  <c r="J19" i="9"/>
  <c r="J18" i="9"/>
  <c r="J21" i="9" s="1"/>
  <c r="J28" i="9" l="1"/>
  <c r="J26" i="9" l="1"/>
  <c r="J27" i="9" s="1"/>
  <c r="J29" i="9" s="1"/>
  <c r="K24" i="9" s="1"/>
  <c r="K25" i="9" s="1"/>
  <c r="K14" i="9" l="1"/>
  <c r="J30" i="9"/>
  <c r="K15" i="9" l="1"/>
  <c r="K23" i="9"/>
  <c r="K16" i="9" l="1"/>
  <c r="K17" i="9" s="1"/>
  <c r="K19" i="9" l="1"/>
  <c r="K20" i="9"/>
  <c r="K18" i="9"/>
  <c r="K21" i="9" l="1"/>
  <c r="K28" i="9" l="1"/>
  <c r="K26" i="9" l="1"/>
  <c r="K27" i="9" s="1"/>
  <c r="K29" i="9" s="1"/>
  <c r="L24" i="9"/>
  <c r="L25" i="9" s="1"/>
  <c r="L14" i="9" l="1"/>
  <c r="K30" i="9"/>
  <c r="L15" i="9" l="1"/>
  <c r="L16" i="9" s="1"/>
  <c r="L17" i="9" s="1"/>
  <c r="L23" i="9"/>
  <c r="L20" i="9" l="1"/>
  <c r="L19" i="9"/>
  <c r="L18" i="9"/>
  <c r="L21" i="9" l="1"/>
  <c r="L28" i="9" s="1"/>
  <c r="L26" i="9" l="1"/>
  <c r="L27" i="9" s="1"/>
  <c r="L29" i="9" s="1"/>
  <c r="M14" i="9" l="1"/>
  <c r="L30" i="9"/>
  <c r="M24" i="9"/>
  <c r="M25" i="9" s="1"/>
  <c r="M15" i="9" l="1"/>
  <c r="M16" i="9" s="1"/>
  <c r="M17" i="9" s="1"/>
  <c r="M23" i="9"/>
  <c r="M20" i="9" l="1"/>
  <c r="M18" i="9"/>
  <c r="M19" i="9"/>
  <c r="M21" i="9" l="1"/>
  <c r="M28" i="9" s="1"/>
  <c r="M26" i="9" s="1"/>
  <c r="M27" i="9" s="1"/>
  <c r="M29" i="9" s="1"/>
  <c r="M30" i="9" s="1"/>
</calcChain>
</file>

<file path=xl/sharedStrings.xml><?xml version="1.0" encoding="utf-8"?>
<sst xmlns="http://schemas.openxmlformats.org/spreadsheetml/2006/main" count="60" uniqueCount="51">
  <si>
    <t>Profit</t>
  </si>
  <si>
    <t>Year</t>
  </si>
  <si>
    <t>Opening capital</t>
  </si>
  <si>
    <t>Add profit</t>
  </si>
  <si>
    <t>Pre- fees AUM</t>
  </si>
  <si>
    <t>Hurdle AUM</t>
  </si>
  <si>
    <t>Fees</t>
  </si>
  <si>
    <t>Ending AUM</t>
  </si>
  <si>
    <t>Variable</t>
  </si>
  <si>
    <t>Fixed</t>
  </si>
  <si>
    <t>Pree fees AUM</t>
  </si>
  <si>
    <t>Avg. AUM</t>
  </si>
  <si>
    <t>Fees @ 2% of  Avg. AUM</t>
  </si>
  <si>
    <t>Less: Brokerage &amp; STT &amp; GST</t>
  </si>
  <si>
    <t>Brokerage + STT (incl. GST) in bps</t>
  </si>
  <si>
    <t>Other Expenses  in bps</t>
  </si>
  <si>
    <t xml:space="preserve">Capital Contributed / Assets under Management </t>
  </si>
  <si>
    <t xml:space="preserve">Gross Value of the Portfolio at the end of the year </t>
  </si>
  <si>
    <t xml:space="preserve">Brokerage and transaction cost for the illustration purpose is charged on the Average AUM. However, Brokerage and Transaction cost are charged on basis the actuals trades. </t>
  </si>
  <si>
    <t>Less: Other Expenses</t>
  </si>
  <si>
    <t>This is only a generic illustration, fees and charges shall be levied as per the terms and condition of their PMS agreement.</t>
  </si>
  <si>
    <t>Management Fee (%age per annum)</t>
  </si>
  <si>
    <t>Performance fee</t>
  </si>
  <si>
    <t>Hurdle Rate of Return (%age per annum)</t>
  </si>
  <si>
    <t>Gross Value of the Portfolio before Performance fee</t>
  </si>
  <si>
    <t>Portfolio return subject of Performance Fee</t>
  </si>
  <si>
    <t>The above fee calculator shows the High Water Mark to be carried forward in different scenario for equal and fair treatment to the investor.</t>
  </si>
  <si>
    <t>Assumptions</t>
  </si>
  <si>
    <t>Returns are assumed to be generated linearly through the year.</t>
  </si>
  <si>
    <t>In the illustration, Performance fee is assumed to be charged annually. However, the Portfolio Manager can charge fee at any frequency i.e. Quarterly, Semi-annually, Annually or at any other frequency as defined in the PMS agreement and as permitted under SEBI regulations.</t>
  </si>
  <si>
    <t xml:space="preserve">Daily Weighted Average assets under management </t>
  </si>
  <si>
    <t>Particulars</t>
  </si>
  <si>
    <t>Less: Management Fees</t>
  </si>
  <si>
    <t>Performance Fee</t>
  </si>
  <si>
    <t>All Fees and charges are subject to GST &amp; applicable taxes</t>
  </si>
  <si>
    <t>Notes</t>
  </si>
  <si>
    <t>Fee Calculator</t>
  </si>
  <si>
    <t>Please change the cells marked in yellow for various scenarios</t>
  </si>
  <si>
    <t>Please change these cells as per your fee structure.</t>
  </si>
  <si>
    <t xml:space="preserve">Opening AUM </t>
  </si>
  <si>
    <t>For subsequent years, the Hurdle AUM is calculated by multiplying the hurdle rate with the High Watermark. Note that the actual hurdle rate is defined in the PMS agreement and may differ from this illustration.</t>
  </si>
  <si>
    <t>The High Watermark (Pre-Fees) for the 1st year equals the initial corpus investment value.</t>
  </si>
  <si>
    <t>If performance fees were charged in the previous year, the High Watermark (Pre-Fees) is the closing NAV of the previous year (net of fees).</t>
  </si>
  <si>
    <t>If performance fees were not charged in the previous year, the High Watermark (Pre-Fees) is the closing NAV when the last performance fee was charged, multiplied by the cumulative hurdle rate.</t>
  </si>
  <si>
    <t>The Hurdle AUM for the 1st year is computed by multiplying the hurdle rate with the corpus investment value.</t>
  </si>
  <si>
    <t>Initial Capital Contribution</t>
  </si>
  <si>
    <t>Return - Gross</t>
  </si>
  <si>
    <t>% Portfolio return - Net</t>
  </si>
  <si>
    <t xml:space="preserve">Amount on which Hurdle to be calculated </t>
  </si>
  <si>
    <t>Performance fee Charged</t>
  </si>
  <si>
    <r>
      <rPr>
        <sz val="11"/>
        <rFont val="Calibri"/>
        <family val="2"/>
        <scheme val="minor"/>
      </rPr>
      <t xml:space="preserve">Other  expenses include Account opening fee, </t>
    </r>
    <r>
      <rPr>
        <sz val="11"/>
        <color theme="1"/>
        <rFont val="Calibri"/>
        <family val="2"/>
        <scheme val="minor"/>
      </rPr>
      <t>Stamp duty, Custodian fee, Fund accounting charges, depository charges, Audit fee</t>
    </r>
    <r>
      <rPr>
        <sz val="11"/>
        <color rgb="FFFF0000"/>
        <rFont val="Calibri"/>
        <family val="2"/>
        <scheme val="minor"/>
      </rPr>
      <t xml:space="preserve">, </t>
    </r>
    <r>
      <rPr>
        <sz val="11"/>
        <color theme="1"/>
        <rFont val="Calibri"/>
        <family val="2"/>
        <scheme val="minor"/>
      </rPr>
      <t>Bank charges, legal, custody &amp; transfer charges, dematerialization, rematerialisation ,stamp charges, cost of affidavits, notary charges, postage stamp and courier charges, Primary clearing member (PCM) charges (for accounts trading derivatives, Documentation cost , Liquidation cost if any and other miscellaneous expenses</t>
    </r>
    <r>
      <rPr>
        <sz val="11"/>
        <color rgb="FFFF0000"/>
        <rFont val="Calibri"/>
        <family val="2"/>
        <scheme val="minor"/>
      </rPr>
      <t>,</t>
    </r>
    <r>
      <rPr>
        <sz val="11"/>
        <rFont val="Calibri"/>
        <family val="2"/>
        <scheme val="minor"/>
      </rPr>
      <t xml:space="preserve"> as stated in PMS Agreement are charged on daily average AUM or at actuals as applicable. </t>
    </r>
    <r>
      <rPr>
        <sz val="11"/>
        <color theme="1"/>
        <rFont val="Calibri"/>
        <family val="2"/>
        <scheme val="minor"/>
      </rPr>
      <t>Here in fee calculator it is charged on Average AUM and considered as 7 bps, however it will be charged as per PMS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</si>
</sst>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b/>
      <sz val="11"/>
      <color theme="1"/>
      <name val="Aptos"/>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164" fontId="2" fillId="0" borderId="0" applyFont="0" applyFill="0" applyBorder="0" applyAlignment="0" applyProtection="0"/>
  </cellStyleXfs>
  <cellXfs count="55">
    <xf numFmtId="0" fontId="0" fillId="0" borderId="0" xfId="0"/>
    <xf numFmtId="0" fontId="1" fillId="0" borderId="1" xfId="0" applyFont="1" applyBorder="1"/>
    <xf numFmtId="9" fontId="1" fillId="0" borderId="1" xfId="0" applyNumberFormat="1" applyFont="1" applyBorder="1"/>
    <xf numFmtId="0" fontId="1" fillId="0" borderId="0" xfId="0" applyFont="1"/>
    <xf numFmtId="0" fontId="0" fillId="0" borderId="1" xfId="0" applyBorder="1"/>
    <xf numFmtId="10" fontId="1" fillId="0" borderId="1" xfId="0" applyNumberFormat="1" applyFont="1" applyBorder="1"/>
    <xf numFmtId="10" fontId="1" fillId="2" borderId="1" xfId="0" applyNumberFormat="1" applyFont="1" applyFill="1" applyBorder="1"/>
    <xf numFmtId="3" fontId="0" fillId="0" borderId="1" xfId="1" applyNumberFormat="1" applyFont="1" applyBorder="1"/>
    <xf numFmtId="3" fontId="0" fillId="3" borderId="1" xfId="1" applyNumberFormat="1" applyFont="1" applyFill="1" applyBorder="1"/>
    <xf numFmtId="3" fontId="1" fillId="0" borderId="0" xfId="0" applyNumberFormat="1" applyFont="1"/>
    <xf numFmtId="3" fontId="0" fillId="0" borderId="0" xfId="0" applyNumberFormat="1"/>
    <xf numFmtId="0" fontId="1" fillId="3" borderId="0" xfId="0" applyFont="1" applyFill="1"/>
    <xf numFmtId="3" fontId="0" fillId="3" borderId="0" xfId="0" applyNumberFormat="1" applyFill="1"/>
    <xf numFmtId="0" fontId="1" fillId="0" borderId="0" xfId="0" applyFont="1" applyAlignment="1">
      <alignment horizontal="left" vertical="top" wrapText="1"/>
    </xf>
    <xf numFmtId="0" fontId="3" fillId="0" borderId="0" xfId="0" applyFont="1"/>
    <xf numFmtId="0" fontId="5" fillId="0" borderId="2" xfId="0" applyFont="1" applyBorder="1" applyAlignment="1">
      <alignment vertical="center" wrapText="1"/>
    </xf>
    <xf numFmtId="0" fontId="6" fillId="0" borderId="1" xfId="0" applyFont="1" applyBorder="1"/>
    <xf numFmtId="3" fontId="5" fillId="0" borderId="1" xfId="1" applyNumberFormat="1" applyFont="1" applyBorder="1"/>
    <xf numFmtId="0" fontId="5" fillId="0" borderId="1" xfId="0" applyFont="1" applyBorder="1"/>
    <xf numFmtId="0" fontId="6" fillId="0" borderId="1" xfId="0" applyFont="1" applyBorder="1" applyAlignment="1">
      <alignment wrapText="1"/>
    </xf>
    <xf numFmtId="3" fontId="6" fillId="0" borderId="1" xfId="1" applyNumberFormat="1" applyFont="1" applyBorder="1"/>
    <xf numFmtId="10" fontId="6" fillId="0" borderId="1" xfId="0" applyNumberFormat="1" applyFont="1" applyBorder="1"/>
    <xf numFmtId="165" fontId="4" fillId="3" borderId="0" xfId="1" applyNumberFormat="1" applyFont="1" applyFill="1"/>
    <xf numFmtId="10" fontId="1" fillId="2" borderId="3" xfId="0" applyNumberFormat="1" applyFont="1" applyFill="1" applyBorder="1"/>
    <xf numFmtId="9" fontId="1" fillId="2" borderId="2" xfId="0" applyNumberFormat="1" applyFont="1" applyFill="1" applyBorder="1"/>
    <xf numFmtId="9" fontId="1" fillId="2" borderId="7" xfId="0" applyNumberFormat="1" applyFont="1" applyFill="1" applyBorder="1"/>
    <xf numFmtId="0" fontId="0" fillId="0" borderId="3" xfId="0" applyBorder="1"/>
    <xf numFmtId="0" fontId="0" fillId="0" borderId="11" xfId="0" applyBorder="1"/>
    <xf numFmtId="0" fontId="0" fillId="0" borderId="11" xfId="0" applyBorder="1" applyAlignment="1">
      <alignment vertical="center" wrapText="1"/>
    </xf>
    <xf numFmtId="0" fontId="0" fillId="0" borderId="2" xfId="0" applyBorder="1"/>
    <xf numFmtId="0" fontId="0" fillId="0" borderId="7" xfId="0" applyBorder="1"/>
    <xf numFmtId="165" fontId="1" fillId="0" borderId="12" xfId="1" applyNumberFormat="1" applyFont="1" applyFill="1" applyBorder="1"/>
    <xf numFmtId="165" fontId="1" fillId="0" borderId="13" xfId="1" applyNumberFormat="1" applyFont="1" applyFill="1" applyBorder="1"/>
    <xf numFmtId="0" fontId="7" fillId="0" borderId="0" xfId="0" applyFont="1" applyAlignment="1">
      <alignment vertical="center" wrapText="1"/>
    </xf>
    <xf numFmtId="164" fontId="1" fillId="0" borderId="0" xfId="1" applyFont="1"/>
    <xf numFmtId="164" fontId="0" fillId="0" borderId="10" xfId="1" applyFont="1" applyBorder="1"/>
    <xf numFmtId="0" fontId="0" fillId="0" borderId="1" xfId="0" applyBorder="1" applyAlignment="1">
      <alignment horizontal="center"/>
    </xf>
    <xf numFmtId="0" fontId="0" fillId="0" borderId="0" xfId="0" applyAlignment="1">
      <alignment horizontal="left" vertical="center" indent="1"/>
    </xf>
    <xf numFmtId="0" fontId="6" fillId="4" borderId="1" xfId="0" applyFont="1" applyFill="1" applyBorder="1"/>
    <xf numFmtId="3" fontId="6" fillId="4" borderId="1" xfId="1" applyNumberFormat="1" applyFont="1" applyFill="1" applyBorder="1"/>
    <xf numFmtId="0" fontId="5" fillId="0" borderId="1" xfId="0" applyFont="1" applyBorder="1" applyAlignment="1">
      <alignment horizontal="left" vertical="top" wrapText="1"/>
    </xf>
    <xf numFmtId="0" fontId="0" fillId="0" borderId="17" xfId="0" applyBorder="1" applyAlignment="1">
      <alignment horizontal="center" wrapText="1"/>
    </xf>
    <xf numFmtId="0" fontId="0" fillId="0" borderId="0" xfId="0" applyAlignment="1">
      <alignment horizontal="center" wrapText="1"/>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0" fillId="2" borderId="4" xfId="0" applyFill="1" applyBorder="1" applyAlignment="1">
      <alignment horizont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
  <sheetViews>
    <sheetView workbookViewId="0">
      <selection activeCell="A7" sqref="A7"/>
    </sheetView>
  </sheetViews>
  <sheetFormatPr defaultRowHeight="14.5" x14ac:dyDescent="0.35"/>
  <cols>
    <col min="3" max="3" width="15" bestFit="1" customWidth="1"/>
    <col min="8" max="8" width="22.81640625" bestFit="1" customWidth="1"/>
  </cols>
  <sheetData>
    <row r="2" spans="3:10" x14ac:dyDescent="0.35">
      <c r="C2" s="3" t="s">
        <v>8</v>
      </c>
      <c r="H2" s="3" t="s">
        <v>9</v>
      </c>
    </row>
    <row r="3" spans="3:10" s="3" customFormat="1" x14ac:dyDescent="0.35">
      <c r="C3" s="1" t="s">
        <v>0</v>
      </c>
      <c r="D3" s="2">
        <v>0.2</v>
      </c>
      <c r="E3" s="5">
        <v>0.22500000000000001</v>
      </c>
      <c r="H3" s="1" t="s">
        <v>0</v>
      </c>
      <c r="I3" s="2">
        <v>0.05</v>
      </c>
      <c r="J3" s="2">
        <v>0.25</v>
      </c>
    </row>
    <row r="4" spans="3:10" s="3" customFormat="1" x14ac:dyDescent="0.35">
      <c r="C4" s="1" t="s">
        <v>1</v>
      </c>
      <c r="D4" s="1">
        <v>1</v>
      </c>
      <c r="E4" s="1">
        <v>2</v>
      </c>
      <c r="H4" s="1" t="s">
        <v>1</v>
      </c>
      <c r="I4" s="1">
        <v>1</v>
      </c>
      <c r="J4" s="1">
        <v>2</v>
      </c>
    </row>
    <row r="5" spans="3:10" x14ac:dyDescent="0.35">
      <c r="C5" s="4" t="s">
        <v>2</v>
      </c>
      <c r="D5" s="4">
        <v>100</v>
      </c>
      <c r="E5" s="4">
        <f>+D10</f>
        <v>117.6</v>
      </c>
      <c r="H5" s="4" t="s">
        <v>2</v>
      </c>
      <c r="I5" s="4">
        <v>100</v>
      </c>
      <c r="J5" s="4">
        <f>+I10</f>
        <v>102.95</v>
      </c>
    </row>
    <row r="6" spans="3:10" x14ac:dyDescent="0.35">
      <c r="C6" s="4" t="s">
        <v>3</v>
      </c>
      <c r="D6" s="4">
        <f>+D5*D3</f>
        <v>20</v>
      </c>
      <c r="E6" s="4">
        <f>+E5*E3</f>
        <v>26.46</v>
      </c>
      <c r="H6" s="4" t="s">
        <v>3</v>
      </c>
      <c r="I6" s="4">
        <f>+I5*I3</f>
        <v>5</v>
      </c>
      <c r="J6" s="4">
        <f>+J5*J3</f>
        <v>25.737500000000001</v>
      </c>
    </row>
    <row r="7" spans="3:10" x14ac:dyDescent="0.35">
      <c r="C7" s="4" t="s">
        <v>4</v>
      </c>
      <c r="D7" s="4">
        <f>SUM(D5:D6)</f>
        <v>120</v>
      </c>
      <c r="E7" s="4">
        <f>SUM(E5:E6)</f>
        <v>144.06</v>
      </c>
      <c r="H7" s="4" t="s">
        <v>10</v>
      </c>
      <c r="I7" s="4">
        <f>+I5+I6</f>
        <v>105</v>
      </c>
      <c r="J7" s="4">
        <f>+J5+J6</f>
        <v>128.6875</v>
      </c>
    </row>
    <row r="8" spans="3:10" x14ac:dyDescent="0.35">
      <c r="C8" s="4" t="s">
        <v>5</v>
      </c>
      <c r="D8" s="4">
        <f>+D5*1.08</f>
        <v>108</v>
      </c>
      <c r="E8" s="4">
        <f>+MAX(D8,D10)*1.08</f>
        <v>127.008</v>
      </c>
      <c r="H8" s="4" t="s">
        <v>11</v>
      </c>
      <c r="I8" s="4">
        <f>+(I7+I5)/2</f>
        <v>102.5</v>
      </c>
      <c r="J8" s="4">
        <f>+(J7+J5)/2</f>
        <v>115.81874999999999</v>
      </c>
    </row>
    <row r="9" spans="3:10" s="3" customFormat="1" x14ac:dyDescent="0.35">
      <c r="C9" s="1" t="s">
        <v>6</v>
      </c>
      <c r="D9" s="1">
        <f>+MAX(D7-D8,0)*0.2</f>
        <v>2.4000000000000004</v>
      </c>
      <c r="E9" s="1">
        <f>+MAX(E7-E8,0)*0.2</f>
        <v>3.4104000000000014</v>
      </c>
      <c r="H9" s="1" t="s">
        <v>12</v>
      </c>
      <c r="I9" s="1">
        <f>+I8*0.02</f>
        <v>2.0499999999999998</v>
      </c>
      <c r="J9" s="1">
        <f>+J8*0.02</f>
        <v>2.3163749999999999</v>
      </c>
    </row>
    <row r="10" spans="3:10" x14ac:dyDescent="0.35">
      <c r="C10" s="4" t="s">
        <v>7</v>
      </c>
      <c r="D10" s="4">
        <f>+D7-D9</f>
        <v>117.6</v>
      </c>
      <c r="E10" s="4">
        <f>+E7-E9</f>
        <v>140.64959999999999</v>
      </c>
      <c r="H10" s="4" t="s">
        <v>7</v>
      </c>
      <c r="I10" s="4">
        <f>+I7-I9</f>
        <v>102.95</v>
      </c>
      <c r="J10" s="4">
        <f>+J7-J9</f>
        <v>126.37112500000001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70C9-527E-40CD-8E82-B1A207514225}">
  <dimension ref="B1:N45"/>
  <sheetViews>
    <sheetView showGridLines="0" tabSelected="1" topLeftCell="A36" zoomScale="70" zoomScaleNormal="70" workbookViewId="0">
      <selection activeCell="C37" sqref="C37:K37"/>
    </sheetView>
  </sheetViews>
  <sheetFormatPr defaultRowHeight="14.5" x14ac:dyDescent="0.35"/>
  <cols>
    <col min="2" max="2" width="3.08984375" bestFit="1" customWidth="1"/>
    <col min="3" max="3" width="52" bestFit="1" customWidth="1"/>
    <col min="4" max="4" width="14.54296875" customWidth="1"/>
    <col min="5" max="6" width="9.54296875" bestFit="1" customWidth="1"/>
    <col min="7" max="7" width="13" bestFit="1" customWidth="1"/>
    <col min="8" max="13" width="11.08984375" bestFit="1" customWidth="1"/>
    <col min="14" max="14" width="12.7265625" bestFit="1" customWidth="1"/>
  </cols>
  <sheetData>
    <row r="1" spans="3:13" ht="15" thickBot="1" x14ac:dyDescent="0.4">
      <c r="C1" s="43" t="s">
        <v>36</v>
      </c>
      <c r="D1" s="44"/>
      <c r="E1" s="44"/>
      <c r="F1" s="44"/>
      <c r="G1" s="44"/>
      <c r="H1" s="44"/>
      <c r="I1" s="44"/>
      <c r="J1" s="44"/>
      <c r="K1" s="44"/>
      <c r="L1" s="44"/>
      <c r="M1" s="45"/>
    </row>
    <row r="2" spans="3:13" x14ac:dyDescent="0.35">
      <c r="C2" s="46" t="s">
        <v>37</v>
      </c>
      <c r="D2" s="46"/>
      <c r="E2" s="46"/>
      <c r="F2" s="46"/>
      <c r="G2" s="46"/>
      <c r="H2" s="46"/>
      <c r="I2" s="46"/>
      <c r="J2" s="46"/>
      <c r="K2" s="46"/>
      <c r="L2" s="46"/>
      <c r="M2" s="46"/>
    </row>
    <row r="3" spans="3:13" ht="15" thickBot="1" x14ac:dyDescent="0.4">
      <c r="C3" t="s">
        <v>27</v>
      </c>
    </row>
    <row r="4" spans="3:13" ht="15" thickBot="1" x14ac:dyDescent="0.4">
      <c r="C4" s="26" t="s">
        <v>45</v>
      </c>
      <c r="D4" s="35">
        <v>5000000</v>
      </c>
    </row>
    <row r="5" spans="3:13" ht="14.5" customHeight="1" x14ac:dyDescent="0.35">
      <c r="C5" s="27" t="s">
        <v>21</v>
      </c>
      <c r="D5" s="23">
        <v>0.01</v>
      </c>
      <c r="E5" s="47" t="s">
        <v>38</v>
      </c>
      <c r="F5" s="47"/>
      <c r="G5" s="48"/>
      <c r="H5" s="33"/>
      <c r="I5" s="33"/>
      <c r="J5" s="33"/>
      <c r="K5" s="33"/>
      <c r="L5" s="33"/>
      <c r="M5" s="33"/>
    </row>
    <row r="6" spans="3:13" x14ac:dyDescent="0.35">
      <c r="C6" s="28" t="s">
        <v>22</v>
      </c>
      <c r="D6" s="24">
        <v>0.15</v>
      </c>
      <c r="E6" s="49"/>
      <c r="F6" s="49"/>
      <c r="G6" s="50"/>
      <c r="H6" s="33"/>
      <c r="I6" s="33"/>
      <c r="J6" s="33"/>
      <c r="K6" s="33"/>
      <c r="L6" s="33"/>
      <c r="M6" s="33"/>
    </row>
    <row r="7" spans="3:13" ht="15" thickBot="1" x14ac:dyDescent="0.4">
      <c r="C7" s="27" t="s">
        <v>23</v>
      </c>
      <c r="D7" s="25">
        <v>0.12</v>
      </c>
      <c r="E7" s="51"/>
      <c r="F7" s="51"/>
      <c r="G7" s="52"/>
      <c r="H7" s="33"/>
      <c r="I7" s="33"/>
      <c r="J7" s="33"/>
      <c r="K7" s="33"/>
      <c r="L7" s="33"/>
      <c r="M7" s="33"/>
    </row>
    <row r="8" spans="3:13" x14ac:dyDescent="0.35">
      <c r="C8" s="29" t="s">
        <v>14</v>
      </c>
      <c r="D8" s="31">
        <v>16</v>
      </c>
    </row>
    <row r="9" spans="3:13" ht="15" thickBot="1" x14ac:dyDescent="0.4">
      <c r="C9" s="30" t="s">
        <v>15</v>
      </c>
      <c r="D9" s="32">
        <f>6*1.18</f>
        <v>7.08</v>
      </c>
    </row>
    <row r="10" spans="3:13" x14ac:dyDescent="0.35">
      <c r="C10" s="14"/>
      <c r="D10" s="22"/>
    </row>
    <row r="11" spans="3:13" x14ac:dyDescent="0.35">
      <c r="C11" s="3" t="s">
        <v>31</v>
      </c>
    </row>
    <row r="12" spans="3:13" x14ac:dyDescent="0.35">
      <c r="C12" s="1" t="s">
        <v>46</v>
      </c>
      <c r="D12" s="6">
        <v>0.5</v>
      </c>
      <c r="E12" s="6">
        <v>0.2</v>
      </c>
      <c r="F12" s="6">
        <v>0.1</v>
      </c>
      <c r="G12" s="6">
        <v>0.6</v>
      </c>
      <c r="H12" s="6">
        <v>0.4</v>
      </c>
      <c r="I12" s="6">
        <v>-0.05</v>
      </c>
      <c r="J12" s="6">
        <v>0.5</v>
      </c>
      <c r="K12" s="6">
        <v>-0.06</v>
      </c>
      <c r="L12" s="6">
        <v>0.5</v>
      </c>
      <c r="M12" s="6">
        <v>0.2</v>
      </c>
    </row>
    <row r="13" spans="3:13" x14ac:dyDescent="0.35">
      <c r="C13" s="1" t="s">
        <v>1</v>
      </c>
      <c r="D13" s="1">
        <v>1</v>
      </c>
      <c r="E13" s="1">
        <f>+D13+1</f>
        <v>2</v>
      </c>
      <c r="F13" s="1">
        <f t="shared" ref="F13:M13" si="0">+E13+1</f>
        <v>3</v>
      </c>
      <c r="G13" s="1">
        <f t="shared" si="0"/>
        <v>4</v>
      </c>
      <c r="H13" s="1">
        <f t="shared" si="0"/>
        <v>5</v>
      </c>
      <c r="I13" s="1">
        <f t="shared" si="0"/>
        <v>6</v>
      </c>
      <c r="J13" s="1">
        <f t="shared" si="0"/>
        <v>7</v>
      </c>
      <c r="K13" s="1">
        <f t="shared" si="0"/>
        <v>8</v>
      </c>
      <c r="L13" s="1">
        <f t="shared" si="0"/>
        <v>9</v>
      </c>
      <c r="M13" s="1">
        <f t="shared" si="0"/>
        <v>10</v>
      </c>
    </row>
    <row r="14" spans="3:13" x14ac:dyDescent="0.35">
      <c r="C14" s="4" t="s">
        <v>16</v>
      </c>
      <c r="D14" s="8">
        <f>D4</f>
        <v>5000000</v>
      </c>
      <c r="E14" s="7">
        <f>+D29</f>
        <v>7149613.75</v>
      </c>
      <c r="F14" s="7">
        <f t="shared" ref="F14:M14" si="1">+E29</f>
        <v>8411463.5229572766</v>
      </c>
      <c r="G14" s="7">
        <f t="shared" si="1"/>
        <v>9143905.1675604191</v>
      </c>
      <c r="H14" s="7">
        <f t="shared" si="1"/>
        <v>13894051.785155233</v>
      </c>
      <c r="I14" s="7">
        <f t="shared" si="1"/>
        <v>18693694.175081681</v>
      </c>
      <c r="J14" s="7">
        <f t="shared" si="1"/>
        <v>17534679.528118365</v>
      </c>
      <c r="K14" s="7">
        <f t="shared" si="1"/>
        <v>25644816.506475199</v>
      </c>
      <c r="L14" s="7">
        <f t="shared" si="1"/>
        <v>23799960.20657184</v>
      </c>
      <c r="M14" s="7">
        <f t="shared" si="1"/>
        <v>34859039.90762607</v>
      </c>
    </row>
    <row r="15" spans="3:13" x14ac:dyDescent="0.35">
      <c r="C15" s="4" t="s">
        <v>3</v>
      </c>
      <c r="D15" s="7">
        <f>+D14*D12</f>
        <v>2500000</v>
      </c>
      <c r="E15" s="7">
        <f>+E14*E12</f>
        <v>1429922.75</v>
      </c>
      <c r="F15" s="7">
        <f t="shared" ref="F15:M15" si="2">+F14*F12</f>
        <v>841146.3522957277</v>
      </c>
      <c r="G15" s="7">
        <f t="shared" si="2"/>
        <v>5486343.1005362514</v>
      </c>
      <c r="H15" s="7">
        <f t="shared" si="2"/>
        <v>5557620.7140620938</v>
      </c>
      <c r="I15" s="7">
        <f t="shared" si="2"/>
        <v>-934684.70875408407</v>
      </c>
      <c r="J15" s="7">
        <f t="shared" si="2"/>
        <v>8767339.7640591823</v>
      </c>
      <c r="K15" s="7">
        <f t="shared" si="2"/>
        <v>-1538688.9903885119</v>
      </c>
      <c r="L15" s="7">
        <f t="shared" si="2"/>
        <v>11899980.10328592</v>
      </c>
      <c r="M15" s="7">
        <f t="shared" si="2"/>
        <v>6971807.9815252144</v>
      </c>
    </row>
    <row r="16" spans="3:13" x14ac:dyDescent="0.35">
      <c r="C16" s="18" t="s">
        <v>17</v>
      </c>
      <c r="D16" s="17">
        <f>SUM(D14:D15)</f>
        <v>7500000</v>
      </c>
      <c r="E16" s="17">
        <f t="shared" ref="E16:M16" si="3">SUM(E14:E15)</f>
        <v>8579536.5</v>
      </c>
      <c r="F16" s="17">
        <f t="shared" si="3"/>
        <v>9252609.875253005</v>
      </c>
      <c r="G16" s="17">
        <f t="shared" si="3"/>
        <v>14630248.268096671</v>
      </c>
      <c r="H16" s="17">
        <f t="shared" si="3"/>
        <v>19451672.499217328</v>
      </c>
      <c r="I16" s="17">
        <f t="shared" si="3"/>
        <v>17759009.466327596</v>
      </c>
      <c r="J16" s="17">
        <f t="shared" si="3"/>
        <v>26302019.292177547</v>
      </c>
      <c r="K16" s="17">
        <f t="shared" si="3"/>
        <v>24106127.516086686</v>
      </c>
      <c r="L16" s="17">
        <f t="shared" si="3"/>
        <v>35699940.309857756</v>
      </c>
      <c r="M16" s="17">
        <f t="shared" si="3"/>
        <v>41830847.889151283</v>
      </c>
    </row>
    <row r="17" spans="3:14" x14ac:dyDescent="0.35">
      <c r="C17" s="15" t="s">
        <v>30</v>
      </c>
      <c r="D17" s="17">
        <f>AVERAGE(D14,D16)</f>
        <v>6250000</v>
      </c>
      <c r="E17" s="17">
        <f>AVERAGE(E14,E16)</f>
        <v>7864575.125</v>
      </c>
      <c r="F17" s="17">
        <f t="shared" ref="F17:M17" si="4">AVERAGE(F14,F16)</f>
        <v>8832036.6991051398</v>
      </c>
      <c r="G17" s="17">
        <f t="shared" si="4"/>
        <v>11887076.717828546</v>
      </c>
      <c r="H17" s="17">
        <f t="shared" si="4"/>
        <v>16672862.14218628</v>
      </c>
      <c r="I17" s="17">
        <f t="shared" si="4"/>
        <v>18226351.820704639</v>
      </c>
      <c r="J17" s="17">
        <f t="shared" si="4"/>
        <v>21918349.410147958</v>
      </c>
      <c r="K17" s="17">
        <f t="shared" si="4"/>
        <v>24875472.011280943</v>
      </c>
      <c r="L17" s="17">
        <f t="shared" si="4"/>
        <v>29749950.258214798</v>
      </c>
      <c r="M17" s="17">
        <f t="shared" si="4"/>
        <v>38344943.898388676</v>
      </c>
    </row>
    <row r="18" spans="3:14" x14ac:dyDescent="0.35">
      <c r="C18" s="18" t="s">
        <v>13</v>
      </c>
      <c r="D18" s="17">
        <f>D17*$D$8/10000</f>
        <v>10000</v>
      </c>
      <c r="E18" s="17">
        <f>E17*$D$8/10000</f>
        <v>12583.3202</v>
      </c>
      <c r="F18" s="17">
        <f t="shared" ref="F18:M18" si="5">F17*$D$8/10000</f>
        <v>14131.258718568224</v>
      </c>
      <c r="G18" s="17">
        <f>G17*$D$8/10000</f>
        <v>19019.322748525672</v>
      </c>
      <c r="H18" s="17">
        <f t="shared" si="5"/>
        <v>26676.579427498047</v>
      </c>
      <c r="I18" s="17">
        <f t="shared" si="5"/>
        <v>29162.162913127424</v>
      </c>
      <c r="J18" s="17">
        <f t="shared" si="5"/>
        <v>35069.359056236732</v>
      </c>
      <c r="K18" s="17">
        <f t="shared" si="5"/>
        <v>39800.755218049511</v>
      </c>
      <c r="L18" s="17">
        <f t="shared" si="5"/>
        <v>47599.920413143678</v>
      </c>
      <c r="M18" s="17">
        <f t="shared" si="5"/>
        <v>61351.910237421886</v>
      </c>
    </row>
    <row r="19" spans="3:14" x14ac:dyDescent="0.35">
      <c r="C19" s="18" t="s">
        <v>19</v>
      </c>
      <c r="D19" s="17">
        <f>D17*$D$9/10000</f>
        <v>4425</v>
      </c>
      <c r="E19" s="17">
        <f>E17*$D$9/10000</f>
        <v>5568.1191884999998</v>
      </c>
      <c r="F19" s="17">
        <f t="shared" ref="F19:M19" si="6">F17*$D$9/10000</f>
        <v>6253.0819829664397</v>
      </c>
      <c r="G19" s="17">
        <f t="shared" si="6"/>
        <v>8416.0503162226105</v>
      </c>
      <c r="H19" s="17">
        <f t="shared" si="6"/>
        <v>11804.386396667887</v>
      </c>
      <c r="I19" s="17">
        <f t="shared" si="6"/>
        <v>12904.257089058885</v>
      </c>
      <c r="J19" s="17">
        <f t="shared" si="6"/>
        <v>15518.191382384754</v>
      </c>
      <c r="K19" s="17">
        <f t="shared" si="6"/>
        <v>17611.83418398691</v>
      </c>
      <c r="L19" s="17">
        <f t="shared" si="6"/>
        <v>21062.964782816078</v>
      </c>
      <c r="M19" s="17">
        <f t="shared" si="6"/>
        <v>27148.220280059184</v>
      </c>
    </row>
    <row r="20" spans="3:14" x14ac:dyDescent="0.35">
      <c r="C20" s="16" t="s">
        <v>32</v>
      </c>
      <c r="D20" s="17">
        <f>D17*$D$5</f>
        <v>62500</v>
      </c>
      <c r="E20" s="17">
        <f t="shared" ref="E20:M20" si="7">E17*$D$5</f>
        <v>78645.751250000001</v>
      </c>
      <c r="F20" s="17">
        <f t="shared" si="7"/>
        <v>88320.3669910514</v>
      </c>
      <c r="G20" s="17">
        <f t="shared" si="7"/>
        <v>118870.76717828546</v>
      </c>
      <c r="H20" s="17">
        <f t="shared" si="7"/>
        <v>166728.6214218628</v>
      </c>
      <c r="I20" s="17">
        <f t="shared" si="7"/>
        <v>182263.51820704641</v>
      </c>
      <c r="J20" s="17">
        <f t="shared" si="7"/>
        <v>219183.49410147959</v>
      </c>
      <c r="K20" s="17">
        <f t="shared" si="7"/>
        <v>248754.72011280945</v>
      </c>
      <c r="L20" s="17">
        <f t="shared" si="7"/>
        <v>297499.50258214801</v>
      </c>
      <c r="M20" s="17">
        <f t="shared" si="7"/>
        <v>383449.43898388679</v>
      </c>
      <c r="N20" s="10"/>
    </row>
    <row r="21" spans="3:14" x14ac:dyDescent="0.35">
      <c r="C21" s="19" t="s">
        <v>24</v>
      </c>
      <c r="D21" s="20">
        <f>SUM(D14:D15)-SUM(D18:D20)</f>
        <v>7423075</v>
      </c>
      <c r="E21" s="20">
        <f>SUM(E14:E15)-SUM(E18:E20)</f>
        <v>8482739.3093615007</v>
      </c>
      <c r="F21" s="20">
        <f>SUM(F14:F15)-SUM(F18:F20)</f>
        <v>9143905.1675604191</v>
      </c>
      <c r="G21" s="20">
        <f>SUM(G14:G15)-SUM(G18:G20)</f>
        <v>14483942.127853638</v>
      </c>
      <c r="H21" s="20">
        <f t="shared" ref="H21:M21" si="8">SUM(H14:H15)-SUM(H18:H20)</f>
        <v>19246462.911971297</v>
      </c>
      <c r="I21" s="20">
        <f t="shared" si="8"/>
        <v>17534679.528118365</v>
      </c>
      <c r="J21" s="20">
        <f t="shared" si="8"/>
        <v>26032248.247637447</v>
      </c>
      <c r="K21" s="20">
        <f t="shared" si="8"/>
        <v>23799960.20657184</v>
      </c>
      <c r="L21" s="20">
        <f t="shared" si="8"/>
        <v>35333777.922079645</v>
      </c>
      <c r="M21" s="20">
        <f t="shared" si="8"/>
        <v>41358898.319649912</v>
      </c>
      <c r="N21" s="9"/>
    </row>
    <row r="22" spans="3:14" x14ac:dyDescent="0.35">
      <c r="C22" s="16"/>
      <c r="D22" s="20"/>
      <c r="E22" s="20"/>
      <c r="F22" s="20"/>
      <c r="G22" s="20"/>
      <c r="H22" s="20"/>
      <c r="I22" s="20"/>
      <c r="J22" s="20"/>
      <c r="K22" s="20"/>
      <c r="L22" s="20"/>
      <c r="M22" s="20"/>
      <c r="N22" s="3"/>
    </row>
    <row r="23" spans="3:14" x14ac:dyDescent="0.35">
      <c r="C23" s="38" t="s">
        <v>39</v>
      </c>
      <c r="D23" s="39">
        <f t="shared" ref="D23:M23" si="9">D14</f>
        <v>5000000</v>
      </c>
      <c r="E23" s="39">
        <f>E14</f>
        <v>7149613.75</v>
      </c>
      <c r="F23" s="39">
        <f>F14</f>
        <v>8411463.5229572766</v>
      </c>
      <c r="G23" s="39">
        <f t="shared" si="9"/>
        <v>9143905.1675604191</v>
      </c>
      <c r="H23" s="39">
        <f t="shared" si="9"/>
        <v>13894051.785155233</v>
      </c>
      <c r="I23" s="39">
        <f t="shared" si="9"/>
        <v>18693694.175081681</v>
      </c>
      <c r="J23" s="39">
        <f t="shared" si="9"/>
        <v>17534679.528118365</v>
      </c>
      <c r="K23" s="39">
        <f t="shared" si="9"/>
        <v>25644816.506475199</v>
      </c>
      <c r="L23" s="39">
        <f t="shared" si="9"/>
        <v>23799960.20657184</v>
      </c>
      <c r="M23" s="39">
        <f t="shared" si="9"/>
        <v>34859039.90762607</v>
      </c>
      <c r="N23" s="11"/>
    </row>
    <row r="24" spans="3:14" x14ac:dyDescent="0.35">
      <c r="C24" s="38" t="s">
        <v>48</v>
      </c>
      <c r="D24" s="39">
        <f>D23</f>
        <v>5000000</v>
      </c>
      <c r="E24" s="39">
        <f>IF(D28="NO",D25,D29)</f>
        <v>7149613.75</v>
      </c>
      <c r="F24" s="39">
        <f>IF(E28="NO",E25,E29)</f>
        <v>8411463.5229572766</v>
      </c>
      <c r="G24" s="39">
        <f>IF(F28="NO",F25,F29)</f>
        <v>9420839.1457121503</v>
      </c>
      <c r="H24" s="39">
        <f t="shared" ref="H24:M24" si="10">IF(G28="NO",G25,G29)</f>
        <v>13894051.785155233</v>
      </c>
      <c r="I24" s="39">
        <f t="shared" si="10"/>
        <v>18693694.175081681</v>
      </c>
      <c r="J24" s="39">
        <f t="shared" si="10"/>
        <v>20936937.476091485</v>
      </c>
      <c r="K24" s="39">
        <f t="shared" si="10"/>
        <v>25644816.506475199</v>
      </c>
      <c r="L24" s="39">
        <f t="shared" si="10"/>
        <v>28722194.487252224</v>
      </c>
      <c r="M24" s="39">
        <f t="shared" si="10"/>
        <v>34859039.90762607</v>
      </c>
      <c r="N24" s="11"/>
    </row>
    <row r="25" spans="3:14" x14ac:dyDescent="0.35">
      <c r="C25" s="18" t="s">
        <v>5</v>
      </c>
      <c r="D25" s="17">
        <f>D23*(1+$D$7)</f>
        <v>5600000.0000000009</v>
      </c>
      <c r="E25" s="17">
        <f>E24*(1+$D$7)</f>
        <v>8007567.4000000004</v>
      </c>
      <c r="F25" s="17">
        <f>F24*(1+$D$7)</f>
        <v>9420839.1457121503</v>
      </c>
      <c r="G25" s="17">
        <f>G24*(1+$D$7)</f>
        <v>10551339.843197608</v>
      </c>
      <c r="H25" s="17">
        <f t="shared" ref="H25:M25" si="11">H24*(1+$D$7)</f>
        <v>15561337.999373863</v>
      </c>
      <c r="I25" s="17">
        <f t="shared" si="11"/>
        <v>20936937.476091485</v>
      </c>
      <c r="J25" s="17">
        <f t="shared" si="11"/>
        <v>23449369.973222464</v>
      </c>
      <c r="K25" s="17">
        <f t="shared" si="11"/>
        <v>28722194.487252224</v>
      </c>
      <c r="L25" s="17">
        <f t="shared" si="11"/>
        <v>32168857.825722493</v>
      </c>
      <c r="M25" s="17">
        <f t="shared" si="11"/>
        <v>39042124.696541205</v>
      </c>
    </row>
    <row r="26" spans="3:14" x14ac:dyDescent="0.35">
      <c r="C26" s="18" t="s">
        <v>25</v>
      </c>
      <c r="D26" s="17">
        <f>IF(D28="NO",0,D21-D25)</f>
        <v>1823074.9999999991</v>
      </c>
      <c r="E26" s="17">
        <f t="shared" ref="E26:M26" si="12">IF(E28="NO",0,E21-E25)</f>
        <v>475171.90936150029</v>
      </c>
      <c r="F26" s="17">
        <f t="shared" si="12"/>
        <v>0</v>
      </c>
      <c r="G26" s="17">
        <f t="shared" si="12"/>
        <v>3932602.2846560292</v>
      </c>
      <c r="H26" s="17">
        <f t="shared" si="12"/>
        <v>3685124.9125974346</v>
      </c>
      <c r="I26" s="17">
        <f t="shared" si="12"/>
        <v>0</v>
      </c>
      <c r="J26" s="17">
        <f t="shared" si="12"/>
        <v>2582878.2744149826</v>
      </c>
      <c r="K26" s="17">
        <f t="shared" si="12"/>
        <v>0</v>
      </c>
      <c r="L26" s="17">
        <f t="shared" si="12"/>
        <v>3164920.0963571519</v>
      </c>
      <c r="M26" s="17">
        <f t="shared" si="12"/>
        <v>2316773.6231087074</v>
      </c>
    </row>
    <row r="27" spans="3:14" x14ac:dyDescent="0.35">
      <c r="C27" s="18" t="s">
        <v>33</v>
      </c>
      <c r="D27" s="17">
        <f>D26*$D$6</f>
        <v>273461.24999999983</v>
      </c>
      <c r="E27" s="17">
        <f>E26*$D$6</f>
        <v>71275.786404225044</v>
      </c>
      <c r="F27" s="17">
        <f t="shared" ref="F27:M27" si="13">F26*$D$6</f>
        <v>0</v>
      </c>
      <c r="G27" s="17">
        <f t="shared" si="13"/>
        <v>589890.34269840433</v>
      </c>
      <c r="H27" s="17">
        <f t="shared" si="13"/>
        <v>552768.73688961519</v>
      </c>
      <c r="I27" s="17">
        <f t="shared" si="13"/>
        <v>0</v>
      </c>
      <c r="J27" s="17">
        <f t="shared" si="13"/>
        <v>387431.74116224737</v>
      </c>
      <c r="K27" s="17">
        <f t="shared" si="13"/>
        <v>0</v>
      </c>
      <c r="L27" s="17">
        <f t="shared" si="13"/>
        <v>474738.01445357274</v>
      </c>
      <c r="M27" s="17">
        <f t="shared" si="13"/>
        <v>347516.04346630612</v>
      </c>
    </row>
    <row r="28" spans="3:14" x14ac:dyDescent="0.35">
      <c r="C28" s="16" t="s">
        <v>49</v>
      </c>
      <c r="D28" s="36" t="str">
        <f>IF(D21&gt;D25,"YES","NO")</f>
        <v>YES</v>
      </c>
      <c r="E28" s="36" t="str">
        <f t="shared" ref="E28:M28" si="14">IF(E21&gt;E25,"YES","NO")</f>
        <v>YES</v>
      </c>
      <c r="F28" s="36" t="str">
        <f t="shared" si="14"/>
        <v>NO</v>
      </c>
      <c r="G28" s="36" t="str">
        <f t="shared" si="14"/>
        <v>YES</v>
      </c>
      <c r="H28" s="36" t="str">
        <f t="shared" si="14"/>
        <v>YES</v>
      </c>
      <c r="I28" s="36" t="str">
        <f t="shared" si="14"/>
        <v>NO</v>
      </c>
      <c r="J28" s="36" t="str">
        <f t="shared" si="14"/>
        <v>YES</v>
      </c>
      <c r="K28" s="36" t="str">
        <f t="shared" si="14"/>
        <v>NO</v>
      </c>
      <c r="L28" s="36" t="str">
        <f t="shared" si="14"/>
        <v>YES</v>
      </c>
      <c r="M28" s="36" t="str">
        <f t="shared" si="14"/>
        <v>YES</v>
      </c>
      <c r="N28" s="12"/>
    </row>
    <row r="29" spans="3:14" x14ac:dyDescent="0.35">
      <c r="C29" s="16" t="s">
        <v>7</v>
      </c>
      <c r="D29" s="20">
        <f t="shared" ref="D29:M29" si="15">+D21-D27</f>
        <v>7149613.75</v>
      </c>
      <c r="E29" s="20">
        <f t="shared" si="15"/>
        <v>8411463.5229572766</v>
      </c>
      <c r="F29" s="20">
        <f t="shared" si="15"/>
        <v>9143905.1675604191</v>
      </c>
      <c r="G29" s="20">
        <f t="shared" si="15"/>
        <v>13894051.785155233</v>
      </c>
      <c r="H29" s="20">
        <f t="shared" si="15"/>
        <v>18693694.175081681</v>
      </c>
      <c r="I29" s="20">
        <f t="shared" si="15"/>
        <v>17534679.528118365</v>
      </c>
      <c r="J29" s="20">
        <f t="shared" si="15"/>
        <v>25644816.506475199</v>
      </c>
      <c r="K29" s="20">
        <f t="shared" si="15"/>
        <v>23799960.20657184</v>
      </c>
      <c r="L29" s="20">
        <f t="shared" si="15"/>
        <v>34859039.90762607</v>
      </c>
      <c r="M29" s="20">
        <f t="shared" si="15"/>
        <v>41011382.276183605</v>
      </c>
    </row>
    <row r="30" spans="3:14" x14ac:dyDescent="0.35">
      <c r="C30" s="16" t="s">
        <v>47</v>
      </c>
      <c r="D30" s="21">
        <f t="shared" ref="D30:M30" si="16">+D29/D14-1</f>
        <v>0.42992275000000002</v>
      </c>
      <c r="E30" s="21">
        <f t="shared" si="16"/>
        <v>0.17649202000000019</v>
      </c>
      <c r="F30" s="21">
        <f t="shared" si="16"/>
        <v>8.707660000000006E-2</v>
      </c>
      <c r="G30" s="21">
        <f t="shared" si="16"/>
        <v>0.5194877386137795</v>
      </c>
      <c r="H30" s="21">
        <f t="shared" si="16"/>
        <v>0.34544584</v>
      </c>
      <c r="I30" s="21">
        <f t="shared" si="16"/>
        <v>-6.2000300000000008E-2</v>
      </c>
      <c r="J30" s="21">
        <f t="shared" si="16"/>
        <v>0.46251982908222145</v>
      </c>
      <c r="K30" s="21">
        <f t="shared" si="16"/>
        <v>-7.1938760000000102E-2</v>
      </c>
      <c r="L30" s="21">
        <f t="shared" si="16"/>
        <v>0.46466799125153613</v>
      </c>
      <c r="M30" s="21">
        <f t="shared" si="16"/>
        <v>0.17649201999999997</v>
      </c>
      <c r="N30" s="3"/>
    </row>
    <row r="32" spans="3:14" x14ac:dyDescent="0.35">
      <c r="G32" s="34"/>
      <c r="H32" s="10"/>
      <c r="I32" s="10"/>
    </row>
    <row r="33" spans="2:14" x14ac:dyDescent="0.35">
      <c r="C33" s="3" t="s">
        <v>35</v>
      </c>
    </row>
    <row r="34" spans="2:14" ht="15" customHeight="1" x14ac:dyDescent="0.35">
      <c r="B34" s="4">
        <v>1</v>
      </c>
      <c r="C34" s="40" t="s">
        <v>29</v>
      </c>
      <c r="D34" s="40"/>
      <c r="E34" s="40"/>
      <c r="F34" s="40"/>
      <c r="G34" s="40"/>
      <c r="H34" s="40"/>
      <c r="I34" s="40"/>
      <c r="J34" s="40"/>
      <c r="K34" s="40"/>
    </row>
    <row r="35" spans="2:14" ht="14.5" customHeight="1" x14ac:dyDescent="0.35">
      <c r="B35" s="4">
        <f t="shared" ref="B35:B45" si="17">+B34+1</f>
        <v>2</v>
      </c>
      <c r="C35" s="40" t="s">
        <v>28</v>
      </c>
      <c r="D35" s="40"/>
      <c r="E35" s="40"/>
      <c r="F35" s="40"/>
      <c r="G35" s="40"/>
      <c r="H35" s="40"/>
      <c r="I35" s="40"/>
      <c r="J35" s="40"/>
      <c r="K35" s="40"/>
    </row>
    <row r="36" spans="2:14" ht="38.5" customHeight="1" x14ac:dyDescent="0.35">
      <c r="B36" s="4">
        <f t="shared" si="17"/>
        <v>3</v>
      </c>
      <c r="C36" s="53" t="s">
        <v>18</v>
      </c>
      <c r="D36" s="53"/>
      <c r="E36" s="53"/>
      <c r="F36" s="53"/>
      <c r="G36" s="53"/>
      <c r="H36" s="53"/>
      <c r="I36" s="53"/>
      <c r="J36" s="53"/>
      <c r="K36" s="53"/>
    </row>
    <row r="37" spans="2:14" ht="69.5" customHeight="1" x14ac:dyDescent="0.35">
      <c r="B37" s="4">
        <f t="shared" si="17"/>
        <v>4</v>
      </c>
      <c r="C37" s="54" t="s">
        <v>50</v>
      </c>
      <c r="D37" s="54"/>
      <c r="E37" s="54"/>
      <c r="F37" s="54"/>
      <c r="G37" s="54"/>
      <c r="H37" s="54"/>
      <c r="I37" s="54"/>
      <c r="J37" s="54"/>
      <c r="K37" s="54"/>
      <c r="L37" s="41"/>
      <c r="M37" s="42"/>
      <c r="N37" s="42"/>
    </row>
    <row r="38" spans="2:14" ht="14.5" customHeight="1" x14ac:dyDescent="0.35">
      <c r="B38" s="4">
        <f t="shared" si="17"/>
        <v>5</v>
      </c>
      <c r="C38" s="40" t="s">
        <v>20</v>
      </c>
      <c r="D38" s="40"/>
      <c r="E38" s="40"/>
      <c r="F38" s="40"/>
      <c r="G38" s="40"/>
      <c r="H38" s="40"/>
      <c r="I38" s="40"/>
      <c r="J38" s="40"/>
      <c r="K38" s="40"/>
    </row>
    <row r="39" spans="2:14" ht="29.5" customHeight="1" x14ac:dyDescent="0.35">
      <c r="B39" s="4">
        <f t="shared" si="17"/>
        <v>6</v>
      </c>
      <c r="C39" s="40" t="s">
        <v>41</v>
      </c>
      <c r="D39" s="40"/>
      <c r="E39" s="40"/>
      <c r="F39" s="40"/>
      <c r="G39" s="40"/>
      <c r="H39" s="40"/>
      <c r="I39" s="40"/>
      <c r="J39" s="40"/>
      <c r="K39" s="40"/>
    </row>
    <row r="40" spans="2:14" ht="37.5" customHeight="1" x14ac:dyDescent="0.35">
      <c r="B40" s="4">
        <f t="shared" si="17"/>
        <v>7</v>
      </c>
      <c r="C40" s="40" t="s">
        <v>44</v>
      </c>
      <c r="D40" s="40"/>
      <c r="E40" s="40"/>
      <c r="F40" s="40"/>
      <c r="G40" s="40"/>
      <c r="H40" s="40"/>
      <c r="I40" s="40"/>
      <c r="J40" s="40"/>
      <c r="K40" s="40"/>
    </row>
    <row r="41" spans="2:14" ht="31" customHeight="1" x14ac:dyDescent="0.35">
      <c r="B41" s="4">
        <f t="shared" si="17"/>
        <v>8</v>
      </c>
      <c r="C41" s="40" t="s">
        <v>43</v>
      </c>
      <c r="D41" s="40"/>
      <c r="E41" s="40"/>
      <c r="F41" s="40"/>
      <c r="G41" s="40"/>
      <c r="H41" s="40"/>
      <c r="I41" s="40"/>
      <c r="J41" s="40"/>
      <c r="K41" s="40"/>
    </row>
    <row r="42" spans="2:14" ht="40" customHeight="1" x14ac:dyDescent="0.35">
      <c r="B42" s="4">
        <f t="shared" si="17"/>
        <v>9</v>
      </c>
      <c r="C42" s="40" t="s">
        <v>42</v>
      </c>
      <c r="D42" s="40"/>
      <c r="E42" s="40"/>
      <c r="F42" s="40"/>
      <c r="G42" s="40"/>
      <c r="H42" s="40"/>
      <c r="I42" s="40"/>
      <c r="J42" s="40"/>
      <c r="K42" s="40"/>
      <c r="M42" s="37"/>
    </row>
    <row r="43" spans="2:14" ht="32" customHeight="1" x14ac:dyDescent="0.35">
      <c r="B43" s="4">
        <f t="shared" si="17"/>
        <v>10</v>
      </c>
      <c r="C43" s="40" t="s">
        <v>40</v>
      </c>
      <c r="D43" s="40"/>
      <c r="E43" s="40"/>
      <c r="F43" s="40"/>
      <c r="G43" s="40"/>
      <c r="H43" s="40"/>
      <c r="I43" s="40"/>
      <c r="J43" s="40"/>
      <c r="K43" s="40"/>
      <c r="L43" s="13"/>
      <c r="M43" s="37"/>
    </row>
    <row r="44" spans="2:14" x14ac:dyDescent="0.35">
      <c r="B44" s="4">
        <f t="shared" si="17"/>
        <v>11</v>
      </c>
      <c r="C44" s="40" t="s">
        <v>34</v>
      </c>
      <c r="D44" s="40"/>
      <c r="E44" s="40"/>
      <c r="F44" s="40"/>
      <c r="G44" s="40"/>
      <c r="H44" s="40"/>
      <c r="I44" s="40"/>
      <c r="J44" s="40"/>
      <c r="K44" s="40"/>
      <c r="M44" s="37"/>
    </row>
    <row r="45" spans="2:14" x14ac:dyDescent="0.35">
      <c r="B45" s="4">
        <f t="shared" si="17"/>
        <v>12</v>
      </c>
      <c r="C45" s="40" t="s">
        <v>26</v>
      </c>
      <c r="D45" s="40"/>
      <c r="E45" s="40"/>
      <c r="F45" s="40"/>
      <c r="G45" s="40"/>
      <c r="H45" s="40"/>
      <c r="I45" s="40"/>
      <c r="J45" s="40"/>
      <c r="K45" s="40"/>
      <c r="M45" s="37"/>
    </row>
  </sheetData>
  <mergeCells count="16">
    <mergeCell ref="C38:K38"/>
    <mergeCell ref="C39:K39"/>
    <mergeCell ref="C43:K43"/>
    <mergeCell ref="C44:K44"/>
    <mergeCell ref="C45:K45"/>
    <mergeCell ref="C40:K40"/>
    <mergeCell ref="C41:K41"/>
    <mergeCell ref="C42:K42"/>
    <mergeCell ref="C35:K35"/>
    <mergeCell ref="L37:N37"/>
    <mergeCell ref="C1:M1"/>
    <mergeCell ref="C2:M2"/>
    <mergeCell ref="E5:G7"/>
    <mergeCell ref="C34:K34"/>
    <mergeCell ref="C36:K36"/>
    <mergeCell ref="C37:K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F658CFCA1C2444B3A41FBEDE590EF1" ma:contentTypeVersion="15" ma:contentTypeDescription="Create a new document." ma:contentTypeScope="" ma:versionID="47fb2082d1c1bc8e19b81f470c6d502c">
  <xsd:schema xmlns:xsd="http://www.w3.org/2001/XMLSchema" xmlns:xs="http://www.w3.org/2001/XMLSchema" xmlns:p="http://schemas.microsoft.com/office/2006/metadata/properties" xmlns:ns2="1c6a0980-7a51-4c9c-91c0-032850369c05" xmlns:ns3="031f7b35-35a8-4288-a9fc-13fc3394a6b1" targetNamespace="http://schemas.microsoft.com/office/2006/metadata/properties" ma:root="true" ma:fieldsID="c7ce6785c0261bd6092b83dbb4f7f58b" ns2:_="" ns3:_="">
    <xsd:import namespace="1c6a0980-7a51-4c9c-91c0-032850369c05"/>
    <xsd:import namespace="031f7b35-35a8-4288-a9fc-13fc3394a6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a0980-7a51-4c9c-91c0-032850369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bb7a4f7-5c1b-4f5d-9bda-ed4f527c386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f7b35-35a8-4288-a9fc-13fc3394a6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1be328-53cc-411c-8431-0562e110e4d4}" ma:internalName="TaxCatchAll" ma:showField="CatchAllData" ma:web="031f7b35-35a8-4288-a9fc-13fc3394a6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6a0980-7a51-4c9c-91c0-032850369c05">
      <Terms xmlns="http://schemas.microsoft.com/office/infopath/2007/PartnerControls"/>
    </lcf76f155ced4ddcb4097134ff3c332f>
    <TaxCatchAll xmlns="031f7b35-35a8-4288-a9fc-13fc3394a6b1" xsi:nil="true"/>
  </documentManagement>
</p:properties>
</file>

<file path=customXml/itemProps1.xml><?xml version="1.0" encoding="utf-8"?>
<ds:datastoreItem xmlns:ds="http://schemas.openxmlformats.org/officeDocument/2006/customXml" ds:itemID="{3B535FF2-79E8-4815-A868-F7EA1BB6E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a0980-7a51-4c9c-91c0-032850369c05"/>
    <ds:schemaRef ds:uri="031f7b35-35a8-4288-a9fc-13fc3394a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B98C6-6675-465F-A72B-E9A8074D1D05}">
  <ds:schemaRefs>
    <ds:schemaRef ds:uri="http://schemas.microsoft.com/sharepoint/v3/contenttype/forms"/>
  </ds:schemaRefs>
</ds:datastoreItem>
</file>

<file path=customXml/itemProps3.xml><?xml version="1.0" encoding="utf-8"?>
<ds:datastoreItem xmlns:ds="http://schemas.openxmlformats.org/officeDocument/2006/customXml" ds:itemID="{F47A6F91-C105-409E-9ED0-18B7240B17EC}">
  <ds:schemaRefs>
    <ds:schemaRef ds:uri="http://schemas.microsoft.com/office/2006/metadata/properties"/>
    <ds:schemaRef ds:uri="http://schemas.microsoft.com/office/infopath/2007/PartnerControls"/>
    <ds:schemaRef ds:uri="1c6a0980-7a51-4c9c-91c0-032850369c05"/>
    <ds:schemaRef ds:uri="031f7b35-35a8-4288-a9fc-13fc3394a6b1"/>
  </ds:schemaRefs>
</ds:datastoreItem>
</file>

<file path=docMetadata/LabelInfo.xml><?xml version="1.0" encoding="utf-8"?>
<clbl:labelList xmlns:clbl="http://schemas.microsoft.com/office/2020/mipLabelMetadata">
  <clbl:label id="{30e1e75b-30e8-4eb6-924b-9228391a679f}" enabled="1" method="Standard" siteId="{02dbf22a-371e-4cac-bdbc-60197ffafbe8}" removed="0"/>
  <clbl:label id="{d37cc8f6-26cc-4c01-8cc6-37e519027f57}" enabled="1" method="Standard" siteId="{7c126230-4cbe-4083-b7de-4114e78938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Coffee Can fees</vt:lpstr>
      <vt:lpstr>Fee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sumitb</dc:creator>
  <cp:lastModifiedBy>Rupesh Jadhav - Public Alts AM</cp:lastModifiedBy>
  <dcterms:created xsi:type="dcterms:W3CDTF">2018-04-13T09:28:43Z</dcterms:created>
  <dcterms:modified xsi:type="dcterms:W3CDTF">2025-10-13T11:10:53Z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0x01010072F658CFCA1C2444B3A41FBEDE590EF1</vt:lpwstr>
  </property>
  <property fmtid="{D5CDD505-2E9C-101B-9397-08002B2CF9AE}" pid="3" name="MediaServiceImageTags">
    <vt:lpwstr/>
  </property>
</Properties>
</file>